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calabraspa-my.sharepoint.com/personal/c_musitano_fincalabraspa_onmicrosoft_com/Documents/Desktop/Nuova cartella (3)/safe/"/>
    </mc:Choice>
  </mc:AlternateContent>
  <xr:revisionPtr revIDLastSave="507" documentId="8_{01D00E21-4ADA-4A21-83C8-936F8E645ADD}" xr6:coauthVersionLast="47" xr6:coauthVersionMax="47" xr10:uidLastSave="{F0BAA9F6-F59C-446D-B3D3-009B576669AB}"/>
  <bookViews>
    <workbookView xWindow="-108" yWindow="-108" windowWidth="23256" windowHeight="12576" xr2:uid="{00000000-000D-0000-FFFF-FFFF00000000}"/>
  </bookViews>
  <sheets>
    <sheet name="foglio calcolo" sheetId="3" r:id="rId1"/>
    <sheet name="calcolo_esempioPPCCB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3" l="1"/>
  <c r="P16" i="3"/>
  <c r="P8" i="5" l="1"/>
  <c r="D41" i="5"/>
  <c r="E40" i="5"/>
  <c r="E39" i="5"/>
  <c r="D33" i="5"/>
  <c r="U32" i="5"/>
  <c r="E31" i="5"/>
  <c r="E33" i="5" s="1"/>
  <c r="D17" i="5"/>
  <c r="P16" i="5"/>
  <c r="E15" i="5"/>
  <c r="D9" i="5"/>
  <c r="E7" i="5"/>
  <c r="E9" i="5" s="1"/>
  <c r="U32" i="3"/>
  <c r="U8" i="3"/>
  <c r="F15" i="5" l="1"/>
  <c r="F31" i="5"/>
  <c r="F39" i="5"/>
  <c r="F40" i="5"/>
  <c r="G40" i="5" s="1"/>
  <c r="H40" i="5" s="1"/>
  <c r="I40" i="5" s="1"/>
  <c r="J40" i="5" s="1"/>
  <c r="K40" i="5" s="1"/>
  <c r="L40" i="5" s="1"/>
  <c r="M40" i="5" s="1"/>
  <c r="N40" i="5" s="1"/>
  <c r="O40" i="5" s="1"/>
  <c r="E41" i="5"/>
  <c r="F7" i="5"/>
  <c r="E17" i="5"/>
  <c r="P40" i="3"/>
  <c r="F41" i="5" l="1"/>
  <c r="G39" i="5"/>
  <c r="P40" i="5"/>
  <c r="G7" i="5"/>
  <c r="F9" i="5"/>
  <c r="G31" i="5"/>
  <c r="F33" i="5"/>
  <c r="F17" i="5"/>
  <c r="G15" i="5"/>
  <c r="U7" i="3"/>
  <c r="U9" i="3" l="1"/>
  <c r="H7" i="5"/>
  <c r="G9" i="5"/>
  <c r="H15" i="5"/>
  <c r="G17" i="5"/>
  <c r="H31" i="5"/>
  <c r="G33" i="5"/>
  <c r="G41" i="5"/>
  <c r="H39" i="5"/>
  <c r="H33" i="5" l="1"/>
  <c r="I31" i="5"/>
  <c r="H41" i="5"/>
  <c r="I39" i="5"/>
  <c r="H9" i="5"/>
  <c r="I7" i="5"/>
  <c r="H17" i="5"/>
  <c r="I15" i="5"/>
  <c r="I17" i="5" l="1"/>
  <c r="J15" i="5"/>
  <c r="I41" i="5"/>
  <c r="J39" i="5"/>
  <c r="I9" i="5"/>
  <c r="J7" i="5"/>
  <c r="I33" i="5"/>
  <c r="J31" i="5"/>
  <c r="J41" i="5" l="1"/>
  <c r="K39" i="5"/>
  <c r="K7" i="5"/>
  <c r="J9" i="5"/>
  <c r="K31" i="5"/>
  <c r="J33" i="5"/>
  <c r="J17" i="5"/>
  <c r="K15" i="5"/>
  <c r="L7" i="5" l="1"/>
  <c r="K9" i="5"/>
  <c r="L15" i="5"/>
  <c r="K17" i="5"/>
  <c r="L31" i="5"/>
  <c r="K33" i="5"/>
  <c r="K41" i="5"/>
  <c r="L39" i="5"/>
  <c r="L9" i="5" l="1"/>
  <c r="M7" i="5"/>
  <c r="L41" i="5"/>
  <c r="M39" i="5"/>
  <c r="L17" i="5"/>
  <c r="M15" i="5"/>
  <c r="L33" i="5"/>
  <c r="M31" i="5"/>
  <c r="M33" i="5" l="1"/>
  <c r="N31" i="5"/>
  <c r="M41" i="5"/>
  <c r="N39" i="5"/>
  <c r="M17" i="5"/>
  <c r="N15" i="5"/>
  <c r="M9" i="5"/>
  <c r="N7" i="5"/>
  <c r="O7" i="5" l="1"/>
  <c r="P7" i="5" s="1"/>
  <c r="N9" i="5"/>
  <c r="N41" i="5"/>
  <c r="O39" i="5"/>
  <c r="N17" i="5"/>
  <c r="O15" i="5"/>
  <c r="O31" i="5"/>
  <c r="N33" i="5"/>
  <c r="P17" i="3" l="1"/>
  <c r="O41" i="5"/>
  <c r="P39" i="5"/>
  <c r="P41" i="5" s="1"/>
  <c r="P31" i="5"/>
  <c r="O33" i="5"/>
  <c r="O17" i="5"/>
  <c r="P15" i="5"/>
  <c r="P17" i="5" s="1"/>
  <c r="O9" i="5"/>
  <c r="P39" i="3"/>
  <c r="P41" i="3" l="1"/>
  <c r="K47" i="3"/>
  <c r="P33" i="5"/>
  <c r="Q31" i="5"/>
  <c r="Q33" i="5" l="1"/>
  <c r="R31" i="5"/>
  <c r="S31" i="5" l="1"/>
  <c r="R33" i="5"/>
  <c r="T31" i="5" l="1"/>
  <c r="S33" i="5"/>
  <c r="D20" i="3"/>
  <c r="D23" i="3" l="1"/>
  <c r="E23" i="3" s="1"/>
  <c r="F23" i="3" s="1"/>
  <c r="E20" i="3"/>
  <c r="F20" i="3" s="1"/>
  <c r="T33" i="5"/>
  <c r="U31" i="5"/>
  <c r="U33" i="5" s="1"/>
  <c r="D44" i="5" s="1"/>
  <c r="D47" i="5" s="1"/>
  <c r="P9" i="5"/>
  <c r="D20" i="5" s="1"/>
  <c r="D23" i="5" s="1"/>
  <c r="U31" i="3"/>
  <c r="U33" i="3" l="1"/>
  <c r="D44" i="3" s="1"/>
  <c r="E44" i="3" s="1"/>
  <c r="F44" i="3" s="1"/>
  <c r="H47" i="3"/>
  <c r="N47" i="3" s="1"/>
  <c r="D52" i="5"/>
  <c r="D47" i="3" l="1"/>
  <c r="E47" i="3" s="1"/>
  <c r="F47" i="3" s="1"/>
  <c r="D52" i="3" s="1"/>
  <c r="P48" i="3"/>
  <c r="P47" i="3"/>
  <c r="E52" i="3" l="1"/>
</calcChain>
</file>

<file path=xl/sharedStrings.xml><?xml version="1.0" encoding="utf-8"?>
<sst xmlns="http://schemas.openxmlformats.org/spreadsheetml/2006/main" count="71" uniqueCount="32">
  <si>
    <t>Calcolo Pue(22-23)</t>
  </si>
  <si>
    <t>Importo imponibile fatture (€)</t>
  </si>
  <si>
    <t>Consumo fatturato (KWH)</t>
  </si>
  <si>
    <t>PU</t>
  </si>
  <si>
    <t>Totale</t>
  </si>
  <si>
    <t>IePU</t>
  </si>
  <si>
    <t>Ae_22-23</t>
  </si>
  <si>
    <t>Contributo richiesto</t>
  </si>
  <si>
    <t>Intensità di aiuto</t>
  </si>
  <si>
    <t>Importo massimo concedibile (€)</t>
  </si>
  <si>
    <t>IgPU</t>
  </si>
  <si>
    <t>Ag_22-23</t>
  </si>
  <si>
    <t>Energia Elettrica</t>
  </si>
  <si>
    <t>Gas</t>
  </si>
  <si>
    <t>Consumo fatturato (SMC)</t>
  </si>
  <si>
    <t>DELTA</t>
  </si>
  <si>
    <t>COSTI ENERGETICI TOTALI AMM.LI</t>
  </si>
  <si>
    <t>COSTI ENERGETICI TOTALI RIF.</t>
  </si>
  <si>
    <t>DELTA %</t>
  </si>
  <si>
    <t>Calcolo Pue(21-22)</t>
  </si>
  <si>
    <t>IePU -Incremento del prezzo unitario medio</t>
  </si>
  <si>
    <t xml:space="preserve">dall’impresa </t>
  </si>
  <si>
    <t>Definizioni:</t>
  </si>
  <si>
    <t xml:space="preserve">Calcolo Pue(22-23) </t>
  </si>
  <si>
    <t>Pue - Prezzo unitario medio ponderato per kWh</t>
  </si>
  <si>
    <t xml:space="preserve">Calcolo Pue(21-22) </t>
  </si>
  <si>
    <t>Ae - Aumento del costo dell’energia sostenuto</t>
  </si>
  <si>
    <t>PU - Prezzo unitario</t>
  </si>
  <si>
    <t>IgPU - Incremento del prezzo unitario medio gas</t>
  </si>
  <si>
    <t>IePU - Incremento del prezzo unitario medio energia</t>
  </si>
  <si>
    <t>Ag - Aumento del costo del gas sostenuto</t>
  </si>
  <si>
    <t>aiuto concedibile se &gt;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</si>
</sst>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\-yy;@"/>
  </numFmts>
  <fonts count="7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0" fontId="0" fillId="0" borderId="0" xfId="0" applyNumberFormat="1"/>
    <xf numFmtId="40" fontId="0" fillId="2" borderId="0" xfId="0" applyNumberForma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40" fontId="3" fillId="3" borderId="0" xfId="0" applyNumberFormat="1" applyFont="1" applyFill="1"/>
    <xf numFmtId="40" fontId="0" fillId="3" borderId="0" xfId="0" applyNumberFormat="1" applyFill="1"/>
    <xf numFmtId="164" fontId="0" fillId="3" borderId="0" xfId="0" applyNumberFormat="1" applyFill="1" applyAlignment="1">
      <alignment horizontal="center" vertical="center"/>
    </xf>
    <xf numFmtId="40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40" fontId="2" fillId="4" borderId="0" xfId="0" applyNumberFormat="1" applyFont="1" applyFill="1"/>
    <xf numFmtId="9" fontId="2" fillId="4" borderId="0" xfId="1" applyFont="1" applyFill="1"/>
    <xf numFmtId="40" fontId="0" fillId="0" borderId="0" xfId="0" applyNumberFormat="1" applyProtection="1">
      <protection hidden="1"/>
    </xf>
    <xf numFmtId="40" fontId="0" fillId="2" borderId="0" xfId="0" applyNumberFormat="1" applyFill="1" applyAlignment="1" applyProtection="1">
      <alignment vertical="center"/>
      <protection hidden="1"/>
    </xf>
    <xf numFmtId="164" fontId="0" fillId="3" borderId="0" xfId="0" applyNumberFormat="1" applyFill="1" applyAlignment="1" applyProtection="1">
      <alignment horizontal="center" vertical="center"/>
      <protection hidden="1"/>
    </xf>
    <xf numFmtId="40" fontId="0" fillId="3" borderId="0" xfId="0" applyNumberFormat="1" applyFill="1" applyAlignment="1" applyProtection="1">
      <alignment vertical="center"/>
      <protection hidden="1"/>
    </xf>
    <xf numFmtId="40" fontId="0" fillId="3" borderId="0" xfId="0" applyNumberFormat="1" applyFill="1" applyProtection="1">
      <protection hidden="1"/>
    </xf>
    <xf numFmtId="40" fontId="3" fillId="3" borderId="0" xfId="0" applyNumberFormat="1" applyFont="1" applyFill="1" applyProtection="1"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39" fontId="6" fillId="3" borderId="0" xfId="0" applyNumberFormat="1" applyFont="1" applyFill="1" applyProtection="1">
      <protection hidden="1"/>
    </xf>
    <xf numFmtId="2" fontId="3" fillId="3" borderId="0" xfId="1" applyNumberFormat="1" applyFont="1" applyFill="1" applyProtection="1">
      <protection hidden="1"/>
    </xf>
    <xf numFmtId="40" fontId="3" fillId="0" borderId="9" xfId="0" applyNumberFormat="1" applyFont="1" applyBorder="1" applyAlignment="1" applyProtection="1">
      <alignment horizontal="left" vertical="center"/>
      <protection hidden="1"/>
    </xf>
    <xf numFmtId="40" fontId="3" fillId="0" borderId="10" xfId="0" applyNumberFormat="1" applyFont="1" applyBorder="1" applyAlignment="1" applyProtection="1">
      <alignment horizontal="left" vertical="center"/>
      <protection hidden="1"/>
    </xf>
    <xf numFmtId="40" fontId="3" fillId="0" borderId="11" xfId="0" applyNumberFormat="1" applyFont="1" applyBorder="1" applyAlignment="1" applyProtection="1">
      <alignment horizontal="left" vertical="center"/>
      <protection hidden="1"/>
    </xf>
    <xf numFmtId="40" fontId="0" fillId="0" borderId="10" xfId="0" applyNumberFormat="1" applyBorder="1" applyAlignment="1" applyProtection="1">
      <alignment horizontal="left" vertical="center"/>
      <protection hidden="1"/>
    </xf>
    <xf numFmtId="40" fontId="0" fillId="0" borderId="11" xfId="0" applyNumberFormat="1" applyBorder="1" applyAlignment="1" applyProtection="1">
      <alignment horizontal="left" vertical="center"/>
      <protection hidden="1"/>
    </xf>
    <xf numFmtId="40" fontId="0" fillId="0" borderId="6" xfId="0" applyNumberFormat="1" applyBorder="1" applyProtection="1">
      <protection hidden="1"/>
    </xf>
    <xf numFmtId="40" fontId="0" fillId="0" borderId="1" xfId="0" applyNumberFormat="1" applyBorder="1" applyProtection="1">
      <protection hidden="1"/>
    </xf>
    <xf numFmtId="40" fontId="0" fillId="0" borderId="2" xfId="0" applyNumberFormat="1" applyBorder="1" applyProtection="1">
      <protection hidden="1"/>
    </xf>
    <xf numFmtId="10" fontId="0" fillId="0" borderId="0" xfId="1" applyNumberFormat="1" applyFont="1" applyBorder="1" applyAlignment="1" applyProtection="1">
      <alignment horizontal="center"/>
      <protection hidden="1"/>
    </xf>
    <xf numFmtId="40" fontId="0" fillId="0" borderId="0" xfId="0" applyNumberFormat="1" applyAlignment="1" applyProtection="1">
      <alignment horizontal="left"/>
      <protection hidden="1"/>
    </xf>
    <xf numFmtId="40" fontId="0" fillId="0" borderId="3" xfId="0" applyNumberFormat="1" applyBorder="1" applyProtection="1">
      <protection hidden="1"/>
    </xf>
    <xf numFmtId="40" fontId="0" fillId="0" borderId="7" xfId="0" applyNumberFormat="1" applyBorder="1" applyProtection="1">
      <protection hidden="1"/>
    </xf>
    <xf numFmtId="4" fontId="5" fillId="0" borderId="0" xfId="0" applyNumberFormat="1" applyFont="1" applyProtection="1">
      <protection hidden="1"/>
    </xf>
    <xf numFmtId="40" fontId="2" fillId="4" borderId="0" xfId="0" applyNumberFormat="1" applyFont="1" applyFill="1" applyProtection="1">
      <protection hidden="1"/>
    </xf>
    <xf numFmtId="9" fontId="2" fillId="4" borderId="0" xfId="1" applyFont="1" applyFill="1" applyProtection="1">
      <protection hidden="1"/>
    </xf>
    <xf numFmtId="40" fontId="0" fillId="0" borderId="8" xfId="0" applyNumberFormat="1" applyBorder="1" applyProtection="1">
      <protection hidden="1"/>
    </xf>
    <xf numFmtId="40" fontId="0" fillId="0" borderId="4" xfId="0" applyNumberFormat="1" applyBorder="1" applyProtection="1">
      <protection hidden="1"/>
    </xf>
    <xf numFmtId="40" fontId="0" fillId="0" borderId="5" xfId="0" applyNumberFormat="1" applyBorder="1" applyProtection="1">
      <protection hidden="1"/>
    </xf>
    <xf numFmtId="40" fontId="4" fillId="4" borderId="0" xfId="0" applyNumberFormat="1" applyFont="1" applyFill="1" applyProtection="1">
      <protection hidden="1"/>
    </xf>
    <xf numFmtId="40" fontId="3" fillId="0" borderId="6" xfId="0" applyNumberFormat="1" applyFont="1" applyBorder="1" applyProtection="1">
      <protection hidden="1"/>
    </xf>
    <xf numFmtId="40" fontId="3" fillId="0" borderId="7" xfId="0" applyNumberFormat="1" applyFont="1" applyBorder="1" applyProtection="1">
      <protection hidden="1"/>
    </xf>
    <xf numFmtId="40" fontId="3" fillId="0" borderId="8" xfId="0" applyNumberFormat="1" applyFont="1" applyBorder="1" applyProtection="1">
      <protection hidden="1"/>
    </xf>
    <xf numFmtId="40" fontId="0" fillId="0" borderId="0" xfId="0" applyNumberFormat="1" applyProtection="1">
      <protection locked="0"/>
    </xf>
    <xf numFmtId="40" fontId="2" fillId="4" borderId="0" xfId="0" applyNumberFormat="1" applyFont="1" applyFill="1" applyAlignment="1" applyProtection="1">
      <alignment horizontal="center"/>
      <protection hidden="1"/>
    </xf>
    <xf numFmtId="40" fontId="2" fillId="4" borderId="0" xfId="0" applyNumberFormat="1" applyFont="1" applyFill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showGridLines="0" tabSelected="1" topLeftCell="A7" zoomScaleNormal="100" workbookViewId="0">
      <selection activeCell="Q43" sqref="Q43"/>
    </sheetView>
  </sheetViews>
  <sheetFormatPr defaultColWidth="9.42578125" defaultRowHeight="10.199999999999999" x14ac:dyDescent="0.2"/>
  <cols>
    <col min="1" max="2" width="9.42578125" style="43"/>
    <col min="3" max="3" width="43.42578125" style="43" customWidth="1"/>
    <col min="4" max="4" width="14.5703125" style="43" customWidth="1"/>
    <col min="5" max="6" width="9.85546875" style="43" bestFit="1" customWidth="1"/>
    <col min="7" max="7" width="9.42578125" style="43"/>
    <col min="8" max="10" width="9.85546875" style="43" bestFit="1" customWidth="1"/>
    <col min="11" max="13" width="9.42578125" style="43"/>
    <col min="14" max="14" width="13.28515625" style="43" customWidth="1"/>
    <col min="15" max="15" width="11.85546875" style="43" customWidth="1"/>
    <col min="16" max="16" width="13.140625" style="43" customWidth="1"/>
    <col min="17" max="20" width="9.42578125" style="43"/>
    <col min="21" max="21" width="17.28515625" style="43" customWidth="1"/>
    <col min="22" max="16384" width="9.42578125" style="43"/>
  </cols>
  <sheetData>
    <row r="1" spans="1:22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">
      <c r="A2" s="11"/>
      <c r="B2" s="44" t="s">
        <v>12</v>
      </c>
      <c r="C2" s="4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2">
      <c r="A4" s="11"/>
      <c r="B4" s="12" t="s">
        <v>23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">
      <c r="A6" s="11"/>
      <c r="B6" s="11"/>
      <c r="C6" s="11"/>
      <c r="D6" s="13">
        <v>44593</v>
      </c>
      <c r="E6" s="13">
        <v>44621</v>
      </c>
      <c r="F6" s="13">
        <v>44652</v>
      </c>
      <c r="G6" s="13">
        <v>44682</v>
      </c>
      <c r="H6" s="13">
        <v>44713</v>
      </c>
      <c r="I6" s="13">
        <v>44743</v>
      </c>
      <c r="J6" s="13">
        <v>44774</v>
      </c>
      <c r="K6" s="13">
        <v>44805</v>
      </c>
      <c r="L6" s="13">
        <v>44835</v>
      </c>
      <c r="M6" s="13">
        <v>44866</v>
      </c>
      <c r="N6" s="13">
        <v>44896</v>
      </c>
      <c r="O6" s="13">
        <v>44927</v>
      </c>
      <c r="P6" s="13">
        <v>44958</v>
      </c>
      <c r="Q6" s="13">
        <v>44986</v>
      </c>
      <c r="R6" s="13">
        <v>45017</v>
      </c>
      <c r="S6" s="13">
        <v>45047</v>
      </c>
      <c r="T6" s="13">
        <v>45078</v>
      </c>
      <c r="U6" s="14" t="s">
        <v>4</v>
      </c>
      <c r="V6" s="11"/>
    </row>
    <row r="7" spans="1:22" x14ac:dyDescent="0.2">
      <c r="A7" s="11"/>
      <c r="B7" s="11"/>
      <c r="C7" s="15" t="s">
        <v>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15">
        <f>SUM(D7:T7)</f>
        <v>0</v>
      </c>
      <c r="V7" s="11"/>
    </row>
    <row r="8" spans="1:22" x14ac:dyDescent="0.2">
      <c r="A8" s="11"/>
      <c r="B8" s="11"/>
      <c r="C8" s="15" t="s">
        <v>2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15">
        <f>SUM(D8:T8)</f>
        <v>0</v>
      </c>
      <c r="V8" s="11"/>
    </row>
    <row r="9" spans="1:22" x14ac:dyDescent="0.2">
      <c r="A9" s="11"/>
      <c r="B9" s="11"/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 t="str">
        <f t="shared" ref="U9" si="0">IF(AND(U7&gt;0,U8&gt;0),U7/U8,"")</f>
        <v/>
      </c>
      <c r="V9" s="11"/>
    </row>
    <row r="10" spans="1:22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">
      <c r="A12" s="11"/>
      <c r="B12" s="12" t="s">
        <v>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">
      <c r="A14" s="11"/>
      <c r="B14" s="11"/>
      <c r="C14" s="11"/>
      <c r="D14" s="13">
        <v>44228</v>
      </c>
      <c r="E14" s="13">
        <v>44256</v>
      </c>
      <c r="F14" s="13">
        <v>44287</v>
      </c>
      <c r="G14" s="13">
        <v>44317</v>
      </c>
      <c r="H14" s="13">
        <v>44348</v>
      </c>
      <c r="I14" s="13">
        <v>44378</v>
      </c>
      <c r="J14" s="13">
        <v>44409</v>
      </c>
      <c r="K14" s="13">
        <v>44440</v>
      </c>
      <c r="L14" s="13">
        <v>44470</v>
      </c>
      <c r="M14" s="13">
        <v>44501</v>
      </c>
      <c r="N14" s="13">
        <v>44531</v>
      </c>
      <c r="O14" s="13">
        <v>44562</v>
      </c>
      <c r="P14" s="14" t="s">
        <v>4</v>
      </c>
      <c r="Q14" s="17"/>
      <c r="R14" s="17"/>
      <c r="S14" s="17"/>
      <c r="T14" s="17"/>
      <c r="U14" s="11"/>
      <c r="V14" s="11"/>
    </row>
    <row r="15" spans="1:22" x14ac:dyDescent="0.2">
      <c r="A15" s="11"/>
      <c r="B15" s="11"/>
      <c r="C15" s="15" t="s">
        <v>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15">
        <f>SUM(D15:O15)</f>
        <v>0</v>
      </c>
      <c r="Q15" s="11"/>
      <c r="R15" s="11"/>
      <c r="S15" s="11"/>
      <c r="T15" s="11"/>
      <c r="U15" s="11"/>
      <c r="V15" s="11"/>
    </row>
    <row r="16" spans="1:22" x14ac:dyDescent="0.2">
      <c r="A16" s="11"/>
      <c r="B16" s="11"/>
      <c r="C16" s="15" t="s">
        <v>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15">
        <f>SUM(D16:O16)</f>
        <v>0</v>
      </c>
      <c r="Q16" s="11"/>
      <c r="R16" s="11"/>
      <c r="S16" s="11"/>
      <c r="T16" s="11"/>
      <c r="U16" s="11"/>
      <c r="V16" s="11"/>
    </row>
    <row r="17" spans="1:22" x14ac:dyDescent="0.2">
      <c r="A17" s="11"/>
      <c r="B17" s="11"/>
      <c r="C17" s="16" t="s">
        <v>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 t="str">
        <f t="shared" ref="P17" si="1">IF(AND(P15&gt;0,P16&gt;0),P15/P16,"")</f>
        <v/>
      </c>
      <c r="Q17" s="11"/>
      <c r="R17" s="11"/>
      <c r="S17" s="11"/>
      <c r="T17" s="11"/>
      <c r="U17" s="11"/>
      <c r="V17" s="11"/>
    </row>
    <row r="18" spans="1:2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">
      <c r="A20" s="11"/>
      <c r="B20" s="11"/>
      <c r="C20" s="18" t="s">
        <v>20</v>
      </c>
      <c r="D20" s="19" t="e">
        <f>IF(AND(U9&gt;0,P17&gt;0),U9-P17,"")</f>
        <v>#VALUE!</v>
      </c>
      <c r="E20" s="19">
        <f>IFERROR(D20,0)</f>
        <v>0</v>
      </c>
      <c r="F20" s="20">
        <f>IF(E20&lt;0,0,E20)</f>
        <v>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">
      <c r="A23" s="11"/>
      <c r="B23" s="11"/>
      <c r="C23" s="18" t="s">
        <v>6</v>
      </c>
      <c r="D23" s="19" t="e">
        <f>+D20*U8</f>
        <v>#VALUE!</v>
      </c>
      <c r="E23" s="19">
        <f>IFERROR(D23,0)</f>
        <v>0</v>
      </c>
      <c r="F23" s="16">
        <f>IF(E23&lt;0,0,E23)</f>
        <v>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">
      <c r="A25" s="11"/>
      <c r="B25" s="11"/>
      <c r="C25" s="11" t="s">
        <v>21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">
      <c r="A26" s="11"/>
      <c r="B26" s="44" t="s">
        <v>13</v>
      </c>
      <c r="C26" s="4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">
      <c r="A28" s="11"/>
      <c r="B28" s="12" t="s">
        <v>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">
      <c r="A30" s="11"/>
      <c r="B30" s="11"/>
      <c r="C30" s="11"/>
      <c r="D30" s="13">
        <v>44593</v>
      </c>
      <c r="E30" s="13">
        <v>44621</v>
      </c>
      <c r="F30" s="13">
        <v>44652</v>
      </c>
      <c r="G30" s="13">
        <v>44682</v>
      </c>
      <c r="H30" s="13">
        <v>44713</v>
      </c>
      <c r="I30" s="13">
        <v>44743</v>
      </c>
      <c r="J30" s="13">
        <v>44774</v>
      </c>
      <c r="K30" s="13">
        <v>44805</v>
      </c>
      <c r="L30" s="13">
        <v>44835</v>
      </c>
      <c r="M30" s="13">
        <v>44866</v>
      </c>
      <c r="N30" s="13">
        <v>44896</v>
      </c>
      <c r="O30" s="13">
        <v>44927</v>
      </c>
      <c r="P30" s="13">
        <v>44958</v>
      </c>
      <c r="Q30" s="13">
        <v>44986</v>
      </c>
      <c r="R30" s="13">
        <v>45017</v>
      </c>
      <c r="S30" s="13">
        <v>45047</v>
      </c>
      <c r="T30" s="13">
        <v>45078</v>
      </c>
      <c r="U30" s="14" t="s">
        <v>4</v>
      </c>
      <c r="V30" s="11"/>
    </row>
    <row r="31" spans="1:22" x14ac:dyDescent="0.2">
      <c r="A31" s="11"/>
      <c r="B31" s="11"/>
      <c r="C31" s="15" t="s">
        <v>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15">
        <f>SUM(D31:T31)</f>
        <v>0</v>
      </c>
      <c r="V31" s="11"/>
    </row>
    <row r="32" spans="1:22" x14ac:dyDescent="0.2">
      <c r="A32" s="11"/>
      <c r="B32" s="11"/>
      <c r="C32" s="15" t="s">
        <v>14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15">
        <f>SUM(D32:T32)</f>
        <v>0</v>
      </c>
      <c r="V32" s="11"/>
    </row>
    <row r="33" spans="1:22" x14ac:dyDescent="0.2">
      <c r="A33" s="11"/>
      <c r="B33" s="11"/>
      <c r="C33" s="16" t="s">
        <v>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 t="str">
        <f t="shared" ref="U33" si="2">IF(AND(U31&gt;0,U32&gt;0),U31/U32,"")</f>
        <v/>
      </c>
      <c r="V33" s="11"/>
    </row>
    <row r="34" spans="1:22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">
      <c r="A36" s="11"/>
      <c r="B36" s="12" t="s">
        <v>19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">
      <c r="A38" s="11"/>
      <c r="B38" s="11"/>
      <c r="C38" s="11"/>
      <c r="D38" s="13">
        <v>44228</v>
      </c>
      <c r="E38" s="13">
        <v>44256</v>
      </c>
      <c r="F38" s="13">
        <v>44287</v>
      </c>
      <c r="G38" s="13">
        <v>44317</v>
      </c>
      <c r="H38" s="13">
        <v>44348</v>
      </c>
      <c r="I38" s="13">
        <v>44378</v>
      </c>
      <c r="J38" s="13">
        <v>44409</v>
      </c>
      <c r="K38" s="13">
        <v>44440</v>
      </c>
      <c r="L38" s="13">
        <v>44470</v>
      </c>
      <c r="M38" s="13">
        <v>44501</v>
      </c>
      <c r="N38" s="13">
        <v>44531</v>
      </c>
      <c r="O38" s="13">
        <v>44562</v>
      </c>
      <c r="P38" s="14" t="s">
        <v>4</v>
      </c>
      <c r="Q38" s="17"/>
      <c r="R38" s="17"/>
      <c r="S38" s="17"/>
      <c r="T38" s="17"/>
      <c r="U38" s="11"/>
      <c r="V38" s="11"/>
    </row>
    <row r="39" spans="1:22" x14ac:dyDescent="0.2">
      <c r="A39" s="11"/>
      <c r="B39" s="11"/>
      <c r="C39" s="15" t="s">
        <v>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15">
        <f>SUM(D39:O39)</f>
        <v>0</v>
      </c>
      <c r="Q39" s="11"/>
      <c r="R39" s="11"/>
      <c r="S39" s="11"/>
      <c r="T39" s="11"/>
      <c r="U39" s="11"/>
      <c r="V39" s="11"/>
    </row>
    <row r="40" spans="1:22" x14ac:dyDescent="0.2">
      <c r="A40" s="11"/>
      <c r="B40" s="11"/>
      <c r="C40" s="15" t="s">
        <v>14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15">
        <f>SUM(D40:O40)</f>
        <v>0</v>
      </c>
      <c r="Q40" s="11"/>
      <c r="R40" s="11"/>
      <c r="S40" s="11"/>
      <c r="T40" s="11"/>
      <c r="U40" s="11"/>
      <c r="V40" s="11"/>
    </row>
    <row r="41" spans="1:22" x14ac:dyDescent="0.2">
      <c r="A41" s="11"/>
      <c r="B41" s="11"/>
      <c r="C41" s="16" t="s">
        <v>3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 t="str">
        <f t="shared" ref="P41" si="3">IF(AND(P39&gt;0,P40&gt;0),P39/P40,"")</f>
        <v/>
      </c>
      <c r="Q41" s="11"/>
      <c r="R41" s="11"/>
      <c r="S41" s="11"/>
      <c r="T41" s="11"/>
      <c r="U41" s="11"/>
      <c r="V41" s="11"/>
    </row>
    <row r="42" spans="1:22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">
      <c r="A44" s="11"/>
      <c r="B44" s="11"/>
      <c r="C44" s="18" t="s">
        <v>10</v>
      </c>
      <c r="D44" s="19" t="e">
        <f>U33-P41</f>
        <v>#VALUE!</v>
      </c>
      <c r="E44" s="19">
        <f>IFERROR(D44,0)</f>
        <v>0</v>
      </c>
      <c r="F44" s="16">
        <f>IF(E44&lt;0,0,E44)</f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0.8" thickBo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0.8" thickBot="1" x14ac:dyDescent="0.25">
      <c r="A46" s="11"/>
      <c r="B46" s="11"/>
      <c r="C46" s="11"/>
      <c r="D46" s="11"/>
      <c r="E46" s="11"/>
      <c r="F46" s="11"/>
      <c r="G46" s="11"/>
      <c r="H46" s="21" t="s">
        <v>16</v>
      </c>
      <c r="I46" s="22"/>
      <c r="J46" s="23"/>
      <c r="K46" s="21" t="s">
        <v>17</v>
      </c>
      <c r="L46" s="22"/>
      <c r="M46" s="23"/>
      <c r="N46" s="21" t="s">
        <v>15</v>
      </c>
      <c r="O46" s="23"/>
      <c r="P46" s="21" t="s">
        <v>18</v>
      </c>
      <c r="Q46" s="24"/>
      <c r="R46" s="24"/>
      <c r="S46" s="25"/>
      <c r="T46" s="11"/>
      <c r="U46" s="11"/>
      <c r="V46" s="11"/>
    </row>
    <row r="47" spans="1:22" x14ac:dyDescent="0.2">
      <c r="A47" s="11"/>
      <c r="B47" s="11"/>
      <c r="C47" s="18" t="s">
        <v>11</v>
      </c>
      <c r="D47" s="19" t="e">
        <f>+D44*U32</f>
        <v>#VALUE!</v>
      </c>
      <c r="E47" s="19">
        <f>IFERROR(D47,0)</f>
        <v>0</v>
      </c>
      <c r="F47" s="16">
        <f>IF(E47&lt;0,0,E47)</f>
        <v>0</v>
      </c>
      <c r="G47" s="11"/>
      <c r="H47" s="26">
        <f>U7+U31</f>
        <v>0</v>
      </c>
      <c r="I47" s="27"/>
      <c r="J47" s="28"/>
      <c r="K47" s="26">
        <f>P15+P39</f>
        <v>0</v>
      </c>
      <c r="L47" s="27"/>
      <c r="M47" s="28"/>
      <c r="N47" s="26">
        <f>H47-K47</f>
        <v>0</v>
      </c>
      <c r="O47" s="28"/>
      <c r="P47" s="29" t="e">
        <f>N47/K47</f>
        <v>#DIV/0!</v>
      </c>
      <c r="Q47" s="30" t="s">
        <v>31</v>
      </c>
      <c r="R47" s="11"/>
      <c r="S47" s="31"/>
      <c r="T47" s="11"/>
      <c r="U47" s="11"/>
      <c r="V47" s="11"/>
    </row>
    <row r="48" spans="1:22" x14ac:dyDescent="0.2">
      <c r="A48" s="11"/>
      <c r="B48" s="11"/>
      <c r="C48" s="11"/>
      <c r="D48" s="11"/>
      <c r="E48" s="11"/>
      <c r="F48" s="11"/>
      <c r="G48" s="11"/>
      <c r="H48" s="32"/>
      <c r="I48" s="11"/>
      <c r="J48" s="31"/>
      <c r="K48" s="32"/>
      <c r="L48" s="11"/>
      <c r="M48" s="31"/>
      <c r="N48" s="32"/>
      <c r="O48" s="31"/>
      <c r="P48" s="33" t="e">
        <f>N47/K47*100</f>
        <v>#DIV/0!</v>
      </c>
      <c r="Q48" s="11"/>
      <c r="R48" s="11"/>
      <c r="S48" s="31"/>
      <c r="T48" s="11"/>
      <c r="U48" s="11"/>
      <c r="V48" s="11"/>
    </row>
    <row r="49" spans="1:22" ht="10.8" thickBot="1" x14ac:dyDescent="0.25">
      <c r="A49" s="11"/>
      <c r="B49" s="11"/>
      <c r="C49" s="34" t="s">
        <v>8</v>
      </c>
      <c r="D49" s="35">
        <v>1</v>
      </c>
      <c r="E49" s="11"/>
      <c r="F49" s="11"/>
      <c r="G49" s="11"/>
      <c r="H49" s="36"/>
      <c r="I49" s="37"/>
      <c r="J49" s="38"/>
      <c r="K49" s="36"/>
      <c r="L49" s="37"/>
      <c r="M49" s="38"/>
      <c r="N49" s="36"/>
      <c r="O49" s="38"/>
      <c r="P49" s="37"/>
      <c r="Q49" s="37"/>
      <c r="R49" s="37"/>
      <c r="S49" s="38"/>
      <c r="T49" s="11"/>
      <c r="U49" s="11"/>
      <c r="V49" s="11"/>
    </row>
    <row r="50" spans="1:22" x14ac:dyDescent="0.2">
      <c r="A50" s="11"/>
      <c r="B50" s="11"/>
      <c r="C50" s="34" t="s">
        <v>9</v>
      </c>
      <c r="D50" s="34">
        <v>2000000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">
      <c r="A52" s="11"/>
      <c r="B52" s="11"/>
      <c r="C52" s="34" t="s">
        <v>7</v>
      </c>
      <c r="D52" s="39">
        <f>IF((D49*(F23+F47))&lt;D50,(D49*(F23+F47)),D50)</f>
        <v>0</v>
      </c>
      <c r="E52" s="34" t="e">
        <f>IF(P48&gt;10,D52,0)</f>
        <v>#DIV/0!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0.8" thickBo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">
      <c r="A54" s="11"/>
      <c r="B54" s="11"/>
      <c r="C54" s="40" t="s">
        <v>22</v>
      </c>
      <c r="D54" s="28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2">
      <c r="A55" s="11"/>
      <c r="B55" s="11"/>
      <c r="C55" s="41" t="s">
        <v>24</v>
      </c>
      <c r="D55" s="3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">
      <c r="A56" s="11"/>
      <c r="B56" s="11"/>
      <c r="C56" s="41" t="s">
        <v>29</v>
      </c>
      <c r="D56" s="3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">
      <c r="A57" s="11"/>
      <c r="B57" s="11"/>
      <c r="C57" s="41" t="s">
        <v>26</v>
      </c>
      <c r="D57" s="3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">
      <c r="A58" s="11"/>
      <c r="B58" s="11"/>
      <c r="C58" s="41" t="s">
        <v>27</v>
      </c>
      <c r="D58" s="3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">
      <c r="A59" s="11"/>
      <c r="B59" s="11"/>
      <c r="C59" s="41" t="s">
        <v>28</v>
      </c>
      <c r="D59" s="3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0.8" thickBot="1" x14ac:dyDescent="0.25">
      <c r="A60" s="11"/>
      <c r="B60" s="11"/>
      <c r="C60" s="42" t="s">
        <v>30</v>
      </c>
      <c r="D60" s="38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</sheetData>
  <sheetProtection algorithmName="SHA-512" hashValue="u2DBkDLdpV+yZnYijJz2ObLDswh9DVl6XTkVNuFrbEacmCjjHM8l3DJcWvSFr7Q74/bBlTjVHQYLPdQisHgmhA==" saltValue="WOcDk5yfTm0Zt1cj2GYX/Q==" spinCount="100000" sheet="1" objects="1" scenarios="1" formatColumns="0"/>
  <mergeCells count="2">
    <mergeCell ref="B2:C2"/>
    <mergeCell ref="B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52"/>
  <sheetViews>
    <sheetView showGridLines="0" topLeftCell="B1" workbookViewId="0">
      <selection activeCell="P8" sqref="P8"/>
    </sheetView>
  </sheetViews>
  <sheetFormatPr defaultColWidth="9.42578125" defaultRowHeight="10.199999999999999" x14ac:dyDescent="0.2"/>
  <cols>
    <col min="1" max="2" width="9.42578125" style="1"/>
    <col min="3" max="3" width="27.85546875" style="1" customWidth="1"/>
    <col min="4" max="16384" width="9.42578125" style="1"/>
  </cols>
  <sheetData>
    <row r="2" spans="2:20" x14ac:dyDescent="0.2">
      <c r="B2" s="45" t="s">
        <v>12</v>
      </c>
      <c r="C2" s="45"/>
    </row>
    <row r="4" spans="2:20" x14ac:dyDescent="0.2">
      <c r="B4" s="2" t="s">
        <v>0</v>
      </c>
    </row>
    <row r="6" spans="2:20" x14ac:dyDescent="0.2">
      <c r="D6" s="6">
        <v>44593</v>
      </c>
      <c r="E6" s="6">
        <v>44621</v>
      </c>
      <c r="F6" s="6">
        <v>44652</v>
      </c>
      <c r="G6" s="6">
        <v>44682</v>
      </c>
      <c r="H6" s="6">
        <v>44713</v>
      </c>
      <c r="I6" s="6">
        <v>44743</v>
      </c>
      <c r="J6" s="6">
        <v>44774</v>
      </c>
      <c r="K6" s="6">
        <v>44805</v>
      </c>
      <c r="L6" s="6">
        <v>44835</v>
      </c>
      <c r="M6" s="6">
        <v>44866</v>
      </c>
      <c r="N6" s="6">
        <v>44896</v>
      </c>
      <c r="O6" s="6">
        <v>44927</v>
      </c>
      <c r="P6" s="7" t="s">
        <v>4</v>
      </c>
      <c r="Q6" s="6"/>
      <c r="R6" s="6"/>
      <c r="S6" s="6"/>
      <c r="T6" s="6"/>
    </row>
    <row r="7" spans="2:20" x14ac:dyDescent="0.2">
      <c r="C7" s="5" t="s">
        <v>1</v>
      </c>
      <c r="D7" s="1">
        <v>1800</v>
      </c>
      <c r="E7" s="1">
        <f>+D7+($D$7*0.12)</f>
        <v>2016</v>
      </c>
      <c r="F7" s="1">
        <f t="shared" ref="F7:J7" si="0">+E7+($D$7*0.15)</f>
        <v>2286</v>
      </c>
      <c r="G7" s="1">
        <f t="shared" si="0"/>
        <v>2556</v>
      </c>
      <c r="H7" s="1">
        <f t="shared" si="0"/>
        <v>2826</v>
      </c>
      <c r="I7" s="1">
        <f t="shared" si="0"/>
        <v>3096</v>
      </c>
      <c r="J7" s="1">
        <f t="shared" si="0"/>
        <v>3366</v>
      </c>
      <c r="K7" s="1">
        <f>+J7+($D$7*0.1)</f>
        <v>3546</v>
      </c>
      <c r="L7" s="1">
        <f t="shared" ref="L7:N7" si="1">+K7+($D$7*0.1)</f>
        <v>3726</v>
      </c>
      <c r="M7" s="1">
        <f t="shared" si="1"/>
        <v>3906</v>
      </c>
      <c r="N7" s="1">
        <f t="shared" si="1"/>
        <v>4086</v>
      </c>
      <c r="O7" s="1">
        <f>+N7+($D$7*0.07)</f>
        <v>4212</v>
      </c>
      <c r="P7" s="5">
        <f>SUM(D7:O7)</f>
        <v>37422</v>
      </c>
    </row>
    <row r="8" spans="2:20" x14ac:dyDescent="0.2">
      <c r="C8" s="5" t="s">
        <v>2</v>
      </c>
      <c r="D8" s="1">
        <v>410</v>
      </c>
      <c r="E8" s="1">
        <v>410</v>
      </c>
      <c r="F8" s="1">
        <v>410</v>
      </c>
      <c r="G8" s="1">
        <v>410</v>
      </c>
      <c r="H8" s="1">
        <v>410</v>
      </c>
      <c r="I8" s="1">
        <v>410</v>
      </c>
      <c r="J8" s="1">
        <v>410</v>
      </c>
      <c r="K8" s="1">
        <v>410</v>
      </c>
      <c r="L8" s="1">
        <v>410</v>
      </c>
      <c r="M8" s="1">
        <v>410</v>
      </c>
      <c r="N8" s="1">
        <v>420</v>
      </c>
      <c r="O8" s="1">
        <v>420</v>
      </c>
      <c r="P8" s="5">
        <f>SUM(D8:O8)</f>
        <v>4940</v>
      </c>
    </row>
    <row r="9" spans="2:20" x14ac:dyDescent="0.2">
      <c r="C9" s="4" t="s">
        <v>3</v>
      </c>
      <c r="D9" s="4">
        <f>IF(AND(D7&gt;0,D8&gt;0),D7/D8,"")</f>
        <v>4.3902439024390247</v>
      </c>
      <c r="E9" s="4">
        <f t="shared" ref="E9:O9" si="2">IF(AND(E7&gt;0,E8&gt;0),E7/E8,"")</f>
        <v>4.9170731707317072</v>
      </c>
      <c r="F9" s="4">
        <f t="shared" si="2"/>
        <v>5.5756097560975606</v>
      </c>
      <c r="G9" s="4">
        <f t="shared" si="2"/>
        <v>6.2341463414634148</v>
      </c>
      <c r="H9" s="4">
        <f t="shared" si="2"/>
        <v>6.8926829268292682</v>
      </c>
      <c r="I9" s="4">
        <f t="shared" si="2"/>
        <v>7.5512195121951216</v>
      </c>
      <c r="J9" s="4">
        <f t="shared" si="2"/>
        <v>8.2097560975609749</v>
      </c>
      <c r="K9" s="4">
        <f t="shared" si="2"/>
        <v>8.6487804878048777</v>
      </c>
      <c r="L9" s="4">
        <f t="shared" si="2"/>
        <v>9.0878048780487806</v>
      </c>
      <c r="M9" s="4">
        <f t="shared" si="2"/>
        <v>9.5268292682926834</v>
      </c>
      <c r="N9" s="4">
        <f t="shared" si="2"/>
        <v>9.7285714285714278</v>
      </c>
      <c r="O9" s="4">
        <f t="shared" si="2"/>
        <v>10.028571428571428</v>
      </c>
      <c r="P9" s="4">
        <f>IF(AND(P7&gt;0,P8&gt;0),P7/P8,"")</f>
        <v>7.5753036437246966</v>
      </c>
      <c r="Q9" s="4"/>
      <c r="R9" s="4"/>
      <c r="S9" s="4"/>
      <c r="T9" s="4"/>
    </row>
    <row r="12" spans="2:20" x14ac:dyDescent="0.2">
      <c r="B12" s="2" t="s">
        <v>0</v>
      </c>
    </row>
    <row r="14" spans="2:20" x14ac:dyDescent="0.2">
      <c r="D14" s="6">
        <v>44228</v>
      </c>
      <c r="E14" s="6">
        <v>44256</v>
      </c>
      <c r="F14" s="6">
        <v>44287</v>
      </c>
      <c r="G14" s="6">
        <v>44317</v>
      </c>
      <c r="H14" s="6">
        <v>44348</v>
      </c>
      <c r="I14" s="6">
        <v>44378</v>
      </c>
      <c r="J14" s="6">
        <v>44409</v>
      </c>
      <c r="K14" s="6">
        <v>44440</v>
      </c>
      <c r="L14" s="6">
        <v>44470</v>
      </c>
      <c r="M14" s="6">
        <v>44501</v>
      </c>
      <c r="N14" s="6">
        <v>44531</v>
      </c>
      <c r="O14" s="6">
        <v>44562</v>
      </c>
      <c r="P14" s="7" t="s">
        <v>4</v>
      </c>
      <c r="Q14" s="3"/>
      <c r="R14" s="3"/>
      <c r="S14" s="3"/>
      <c r="T14" s="3"/>
    </row>
    <row r="15" spans="2:20" x14ac:dyDescent="0.2">
      <c r="C15" s="5" t="s">
        <v>1</v>
      </c>
      <c r="D15" s="1">
        <v>1250</v>
      </c>
      <c r="E15" s="1">
        <f>+D15+($D$7*0.003)</f>
        <v>1255.4000000000001</v>
      </c>
      <c r="F15" s="1">
        <f t="shared" ref="F15:H15" si="3">+E15+($D$7*0.003)</f>
        <v>1260.8000000000002</v>
      </c>
      <c r="G15" s="1">
        <f t="shared" si="3"/>
        <v>1266.2000000000003</v>
      </c>
      <c r="H15" s="1">
        <f t="shared" si="3"/>
        <v>1271.6000000000004</v>
      </c>
      <c r="I15" s="1">
        <f>+H15+($D$7*0.04)</f>
        <v>1343.6000000000004</v>
      </c>
      <c r="J15" s="1">
        <f t="shared" ref="J15:O15" si="4">+I15+($D$7*0.04)</f>
        <v>1415.6000000000004</v>
      </c>
      <c r="K15" s="1">
        <f t="shared" si="4"/>
        <v>1487.6000000000004</v>
      </c>
      <c r="L15" s="1">
        <f t="shared" si="4"/>
        <v>1559.6000000000004</v>
      </c>
      <c r="M15" s="1">
        <f t="shared" si="4"/>
        <v>1631.6000000000004</v>
      </c>
      <c r="N15" s="1">
        <f t="shared" si="4"/>
        <v>1703.6000000000004</v>
      </c>
      <c r="O15" s="1">
        <f t="shared" si="4"/>
        <v>1775.6000000000004</v>
      </c>
      <c r="P15" s="5">
        <f>SUM(D15:O15)</f>
        <v>17221.200000000004</v>
      </c>
    </row>
    <row r="16" spans="2:20" x14ac:dyDescent="0.2">
      <c r="C16" s="5" t="s">
        <v>2</v>
      </c>
      <c r="D16" s="1">
        <v>400</v>
      </c>
      <c r="E16" s="1">
        <v>400</v>
      </c>
      <c r="F16" s="1">
        <v>400</v>
      </c>
      <c r="G16" s="1">
        <v>400</v>
      </c>
      <c r="H16" s="1">
        <v>400</v>
      </c>
      <c r="I16" s="1">
        <v>400</v>
      </c>
      <c r="J16" s="1">
        <v>400</v>
      </c>
      <c r="K16" s="1">
        <v>400</v>
      </c>
      <c r="L16" s="1">
        <v>400</v>
      </c>
      <c r="M16" s="1">
        <v>400</v>
      </c>
      <c r="N16" s="1">
        <v>400</v>
      </c>
      <c r="O16" s="1">
        <v>400</v>
      </c>
      <c r="P16" s="5">
        <f>SUM(D16:O16)</f>
        <v>4800</v>
      </c>
    </row>
    <row r="17" spans="2:21" x14ac:dyDescent="0.2">
      <c r="C17" s="4" t="s">
        <v>3</v>
      </c>
      <c r="D17" s="4">
        <f>IF(AND(D15&gt;0,D16&gt;0),D15/D16,"")</f>
        <v>3.125</v>
      </c>
      <c r="E17" s="4">
        <f t="shared" ref="E17:P17" si="5">IF(AND(E15&gt;0,E16&gt;0),E15/E16,"")</f>
        <v>3.1385000000000001</v>
      </c>
      <c r="F17" s="4">
        <f t="shared" si="5"/>
        <v>3.1520000000000006</v>
      </c>
      <c r="G17" s="4">
        <f t="shared" si="5"/>
        <v>3.1655000000000006</v>
      </c>
      <c r="H17" s="4">
        <f t="shared" si="5"/>
        <v>3.1790000000000007</v>
      </c>
      <c r="I17" s="4">
        <f t="shared" si="5"/>
        <v>3.3590000000000009</v>
      </c>
      <c r="J17" s="4">
        <f t="shared" si="5"/>
        <v>3.539000000000001</v>
      </c>
      <c r="K17" s="4">
        <f t="shared" si="5"/>
        <v>3.7190000000000007</v>
      </c>
      <c r="L17" s="4">
        <f t="shared" si="5"/>
        <v>3.8990000000000009</v>
      </c>
      <c r="M17" s="4">
        <f t="shared" si="5"/>
        <v>4.0790000000000006</v>
      </c>
      <c r="N17" s="4">
        <f t="shared" si="5"/>
        <v>4.2590000000000012</v>
      </c>
      <c r="O17" s="4">
        <f t="shared" si="5"/>
        <v>4.4390000000000009</v>
      </c>
      <c r="P17" s="4">
        <f t="shared" si="5"/>
        <v>3.5877500000000011</v>
      </c>
    </row>
    <row r="20" spans="2:21" x14ac:dyDescent="0.2">
      <c r="C20" s="8" t="s">
        <v>5</v>
      </c>
      <c r="D20" s="4">
        <f>IF(AND(P9&gt;0,P17&gt;0),P9-P17,"")</f>
        <v>3.9875536437246955</v>
      </c>
    </row>
    <row r="23" spans="2:21" x14ac:dyDescent="0.2">
      <c r="C23" s="8" t="s">
        <v>6</v>
      </c>
      <c r="D23" s="4">
        <f>+D20*P8</f>
        <v>19698.514999999996</v>
      </c>
    </row>
    <row r="26" spans="2:21" x14ac:dyDescent="0.2">
      <c r="B26" s="45" t="s">
        <v>13</v>
      </c>
      <c r="C26" s="45"/>
    </row>
    <row r="28" spans="2:21" x14ac:dyDescent="0.2">
      <c r="B28" s="2" t="s">
        <v>0</v>
      </c>
    </row>
    <row r="30" spans="2:21" x14ac:dyDescent="0.2">
      <c r="D30" s="6">
        <v>44593</v>
      </c>
      <c r="E30" s="6">
        <v>44621</v>
      </c>
      <c r="F30" s="6">
        <v>44652</v>
      </c>
      <c r="G30" s="6">
        <v>44682</v>
      </c>
      <c r="H30" s="6">
        <v>44713</v>
      </c>
      <c r="I30" s="6">
        <v>44743</v>
      </c>
      <c r="J30" s="6">
        <v>44774</v>
      </c>
      <c r="K30" s="6">
        <v>44805</v>
      </c>
      <c r="L30" s="6">
        <v>44835</v>
      </c>
      <c r="M30" s="6">
        <v>44866</v>
      </c>
      <c r="N30" s="6">
        <v>44896</v>
      </c>
      <c r="O30" s="6">
        <v>44927</v>
      </c>
      <c r="P30" s="6">
        <v>44958</v>
      </c>
      <c r="Q30" s="6">
        <v>44986</v>
      </c>
      <c r="R30" s="6">
        <v>45017</v>
      </c>
      <c r="S30" s="6">
        <v>45047</v>
      </c>
      <c r="T30" s="6">
        <v>45078</v>
      </c>
      <c r="U30" s="7" t="s">
        <v>4</v>
      </c>
    </row>
    <row r="31" spans="2:21" x14ac:dyDescent="0.2">
      <c r="C31" s="5" t="s">
        <v>1</v>
      </c>
      <c r="D31" s="1">
        <v>800</v>
      </c>
      <c r="E31" s="1">
        <f>+D31+($D$7*0.08)</f>
        <v>944</v>
      </c>
      <c r="F31" s="1">
        <f t="shared" ref="F31:I31" si="6">+E31+($D$7*0.08)</f>
        <v>1088</v>
      </c>
      <c r="G31" s="1">
        <f t="shared" si="6"/>
        <v>1232</v>
      </c>
      <c r="H31" s="1">
        <f t="shared" si="6"/>
        <v>1376</v>
      </c>
      <c r="I31" s="1">
        <f t="shared" si="6"/>
        <v>1520</v>
      </c>
      <c r="J31" s="1">
        <f t="shared" ref="J31" si="7">+I31+($D$7*0.15)</f>
        <v>1790</v>
      </c>
      <c r="K31" s="1">
        <f>+J31+($D$7*0.05)</f>
        <v>1880</v>
      </c>
      <c r="L31" s="1">
        <f t="shared" ref="L31:T31" si="8">+K31+($D$7*0.05)</f>
        <v>1970</v>
      </c>
      <c r="M31" s="1">
        <f t="shared" si="8"/>
        <v>2060</v>
      </c>
      <c r="N31" s="1">
        <f t="shared" si="8"/>
        <v>2150</v>
      </c>
      <c r="O31" s="1">
        <f t="shared" si="8"/>
        <v>2240</v>
      </c>
      <c r="P31" s="1">
        <f t="shared" si="8"/>
        <v>2330</v>
      </c>
      <c r="Q31" s="1">
        <f t="shared" si="8"/>
        <v>2420</v>
      </c>
      <c r="R31" s="1">
        <f t="shared" si="8"/>
        <v>2510</v>
      </c>
      <c r="S31" s="1">
        <f t="shared" si="8"/>
        <v>2600</v>
      </c>
      <c r="T31" s="1">
        <f t="shared" si="8"/>
        <v>2690</v>
      </c>
      <c r="U31" s="5">
        <f>SUM(D31:T31)</f>
        <v>31600</v>
      </c>
    </row>
    <row r="32" spans="2:21" x14ac:dyDescent="0.2">
      <c r="C32" s="5" t="s">
        <v>14</v>
      </c>
      <c r="D32" s="1">
        <v>120</v>
      </c>
      <c r="E32" s="1">
        <v>120</v>
      </c>
      <c r="F32" s="1">
        <v>120</v>
      </c>
      <c r="G32" s="1">
        <v>120</v>
      </c>
      <c r="H32" s="1">
        <v>120</v>
      </c>
      <c r="I32" s="1">
        <v>120</v>
      </c>
      <c r="J32" s="1">
        <v>120</v>
      </c>
      <c r="K32" s="1">
        <v>120</v>
      </c>
      <c r="L32" s="1">
        <v>120</v>
      </c>
      <c r="M32" s="1">
        <v>120</v>
      </c>
      <c r="N32" s="1">
        <v>120</v>
      </c>
      <c r="O32" s="1">
        <v>130</v>
      </c>
      <c r="P32" s="1">
        <v>130</v>
      </c>
      <c r="Q32" s="1">
        <v>130</v>
      </c>
      <c r="R32" s="1">
        <v>130</v>
      </c>
      <c r="S32" s="1">
        <v>130</v>
      </c>
      <c r="T32" s="1">
        <v>130</v>
      </c>
      <c r="U32" s="5">
        <f>SUM(D32:T32)</f>
        <v>2100</v>
      </c>
    </row>
    <row r="33" spans="2:21" x14ac:dyDescent="0.2">
      <c r="C33" s="4" t="s">
        <v>3</v>
      </c>
      <c r="D33" s="4">
        <f>IF(AND(D31&gt;0,D32&gt;0),D31/D32,"")</f>
        <v>6.666666666666667</v>
      </c>
      <c r="E33" s="4">
        <f t="shared" ref="E33:U33" si="9">IF(AND(E31&gt;0,E32&gt;0),E31/E32,"")</f>
        <v>7.8666666666666663</v>
      </c>
      <c r="F33" s="4">
        <f t="shared" si="9"/>
        <v>9.0666666666666664</v>
      </c>
      <c r="G33" s="4">
        <f t="shared" si="9"/>
        <v>10.266666666666667</v>
      </c>
      <c r="H33" s="4">
        <f t="shared" si="9"/>
        <v>11.466666666666667</v>
      </c>
      <c r="I33" s="4">
        <f t="shared" si="9"/>
        <v>12.666666666666666</v>
      </c>
      <c r="J33" s="4">
        <f t="shared" si="9"/>
        <v>14.916666666666666</v>
      </c>
      <c r="K33" s="4">
        <f t="shared" si="9"/>
        <v>15.666666666666666</v>
      </c>
      <c r="L33" s="4">
        <f t="shared" si="9"/>
        <v>16.416666666666668</v>
      </c>
      <c r="M33" s="4">
        <f t="shared" si="9"/>
        <v>17.166666666666668</v>
      </c>
      <c r="N33" s="4">
        <f t="shared" si="9"/>
        <v>17.916666666666668</v>
      </c>
      <c r="O33" s="4">
        <f t="shared" si="9"/>
        <v>17.23076923076923</v>
      </c>
      <c r="P33" s="4">
        <f t="shared" si="9"/>
        <v>17.923076923076923</v>
      </c>
      <c r="Q33" s="4">
        <f t="shared" si="9"/>
        <v>18.615384615384617</v>
      </c>
      <c r="R33" s="4">
        <f t="shared" si="9"/>
        <v>19.307692307692307</v>
      </c>
      <c r="S33" s="4">
        <f t="shared" si="9"/>
        <v>20</v>
      </c>
      <c r="T33" s="4">
        <f t="shared" si="9"/>
        <v>20.692307692307693</v>
      </c>
      <c r="U33" s="4">
        <f t="shared" si="9"/>
        <v>15.047619047619047</v>
      </c>
    </row>
    <row r="36" spans="2:21" x14ac:dyDescent="0.2">
      <c r="B36" s="2" t="s">
        <v>0</v>
      </c>
    </row>
    <row r="38" spans="2:21" x14ac:dyDescent="0.2">
      <c r="D38" s="6">
        <v>44228</v>
      </c>
      <c r="E38" s="6">
        <v>44256</v>
      </c>
      <c r="F38" s="6">
        <v>44287</v>
      </c>
      <c r="G38" s="6">
        <v>44317</v>
      </c>
      <c r="H38" s="6">
        <v>44348</v>
      </c>
      <c r="I38" s="6">
        <v>44378</v>
      </c>
      <c r="J38" s="6">
        <v>44409</v>
      </c>
      <c r="K38" s="6">
        <v>44440</v>
      </c>
      <c r="L38" s="6">
        <v>44470</v>
      </c>
      <c r="M38" s="6">
        <v>44501</v>
      </c>
      <c r="N38" s="6">
        <v>44531</v>
      </c>
      <c r="O38" s="6">
        <v>44562</v>
      </c>
      <c r="P38" s="7" t="s">
        <v>4</v>
      </c>
      <c r="Q38" s="3"/>
      <c r="R38" s="3"/>
      <c r="S38" s="3"/>
      <c r="T38" s="3"/>
    </row>
    <row r="39" spans="2:21" x14ac:dyDescent="0.2">
      <c r="C39" s="5" t="s">
        <v>1</v>
      </c>
      <c r="D39" s="1">
        <v>700</v>
      </c>
      <c r="E39" s="1">
        <f>+D39+($D$7*0.003)</f>
        <v>705.4</v>
      </c>
      <c r="F39" s="1">
        <f t="shared" ref="F39:H39" si="10">+E39+($D$7*0.003)</f>
        <v>710.8</v>
      </c>
      <c r="G39" s="1">
        <f t="shared" si="10"/>
        <v>716.19999999999993</v>
      </c>
      <c r="H39" s="1">
        <f t="shared" si="10"/>
        <v>721.59999999999991</v>
      </c>
      <c r="I39" s="1">
        <f>+H39+($D$7*0.04)</f>
        <v>793.59999999999991</v>
      </c>
      <c r="J39" s="1">
        <f t="shared" ref="J39:O39" si="11">+I39+($D$7*0.04)</f>
        <v>865.59999999999991</v>
      </c>
      <c r="K39" s="1">
        <f t="shared" si="11"/>
        <v>937.59999999999991</v>
      </c>
      <c r="L39" s="1">
        <f t="shared" si="11"/>
        <v>1009.5999999999999</v>
      </c>
      <c r="M39" s="1">
        <f t="shared" si="11"/>
        <v>1081.5999999999999</v>
      </c>
      <c r="N39" s="1">
        <f t="shared" si="11"/>
        <v>1153.5999999999999</v>
      </c>
      <c r="O39" s="1">
        <f t="shared" si="11"/>
        <v>1225.5999999999999</v>
      </c>
      <c r="P39" s="5">
        <f>SUM(D39:O39)</f>
        <v>10621.2</v>
      </c>
    </row>
    <row r="40" spans="2:21" x14ac:dyDescent="0.2">
      <c r="C40" s="5" t="s">
        <v>14</v>
      </c>
      <c r="D40" s="1">
        <v>110</v>
      </c>
      <c r="E40" s="1">
        <f>+D40+5</f>
        <v>115</v>
      </c>
      <c r="F40" s="1">
        <f t="shared" ref="F40:O40" si="12">+E40+5</f>
        <v>120</v>
      </c>
      <c r="G40" s="1">
        <f t="shared" si="12"/>
        <v>125</v>
      </c>
      <c r="H40" s="1">
        <f t="shared" si="12"/>
        <v>130</v>
      </c>
      <c r="I40" s="1">
        <f t="shared" si="12"/>
        <v>135</v>
      </c>
      <c r="J40" s="1">
        <f t="shared" si="12"/>
        <v>140</v>
      </c>
      <c r="K40" s="1">
        <f t="shared" si="12"/>
        <v>145</v>
      </c>
      <c r="L40" s="1">
        <f t="shared" si="12"/>
        <v>150</v>
      </c>
      <c r="M40" s="1">
        <f t="shared" si="12"/>
        <v>155</v>
      </c>
      <c r="N40" s="1">
        <f t="shared" si="12"/>
        <v>160</v>
      </c>
      <c r="O40" s="1">
        <f t="shared" si="12"/>
        <v>165</v>
      </c>
      <c r="P40" s="5">
        <f>SUM(D40:O40)</f>
        <v>1650</v>
      </c>
    </row>
    <row r="41" spans="2:21" x14ac:dyDescent="0.2">
      <c r="C41" s="4" t="s">
        <v>3</v>
      </c>
      <c r="D41" s="4">
        <f>IF(AND(D39&gt;0,D40&gt;0),D39/D40,"")</f>
        <v>6.3636363636363633</v>
      </c>
      <c r="E41" s="4">
        <f t="shared" ref="E41:P41" si="13">IF(AND(E39&gt;0,E40&gt;0),E39/E40,"")</f>
        <v>6.1339130434782607</v>
      </c>
      <c r="F41" s="4">
        <f t="shared" si="13"/>
        <v>5.9233333333333329</v>
      </c>
      <c r="G41" s="4">
        <f t="shared" si="13"/>
        <v>5.7295999999999996</v>
      </c>
      <c r="H41" s="4">
        <f t="shared" si="13"/>
        <v>5.5507692307692302</v>
      </c>
      <c r="I41" s="4">
        <f t="shared" si="13"/>
        <v>5.8785185185185176</v>
      </c>
      <c r="J41" s="4">
        <f t="shared" si="13"/>
        <v>6.1828571428571424</v>
      </c>
      <c r="K41" s="4">
        <f t="shared" si="13"/>
        <v>6.4662068965517232</v>
      </c>
      <c r="L41" s="4">
        <f t="shared" si="13"/>
        <v>6.7306666666666661</v>
      </c>
      <c r="M41" s="4">
        <f t="shared" si="13"/>
        <v>6.9780645161290318</v>
      </c>
      <c r="N41" s="4">
        <f t="shared" si="13"/>
        <v>7.2099999999999991</v>
      </c>
      <c r="O41" s="4">
        <f t="shared" si="13"/>
        <v>7.4278787878787877</v>
      </c>
      <c r="P41" s="4">
        <f t="shared" si="13"/>
        <v>6.4370909090909096</v>
      </c>
    </row>
    <row r="44" spans="2:21" x14ac:dyDescent="0.2">
      <c r="C44" s="8" t="s">
        <v>10</v>
      </c>
      <c r="D44" s="4">
        <f>U33-P41</f>
        <v>8.6105281385281387</v>
      </c>
    </row>
    <row r="47" spans="2:21" x14ac:dyDescent="0.2">
      <c r="C47" s="8" t="s">
        <v>11</v>
      </c>
      <c r="D47" s="4">
        <f>+D44*U32</f>
        <v>18082.109090909093</v>
      </c>
    </row>
    <row r="49" spans="3:4" x14ac:dyDescent="0.2">
      <c r="C49" s="9" t="s">
        <v>8</v>
      </c>
      <c r="D49" s="10">
        <v>0.85</v>
      </c>
    </row>
    <row r="50" spans="3:4" x14ac:dyDescent="0.2">
      <c r="C50" s="9" t="s">
        <v>9</v>
      </c>
      <c r="D50" s="9">
        <v>50000</v>
      </c>
    </row>
    <row r="52" spans="3:4" x14ac:dyDescent="0.2">
      <c r="C52" s="9" t="s">
        <v>7</v>
      </c>
      <c r="D52" s="9">
        <f>IF((D49*(D23+D47))&lt;D50,(D49*(D23+D47)),D50)</f>
        <v>32113.530477272721</v>
      </c>
    </row>
  </sheetData>
  <mergeCells count="2">
    <mergeCell ref="B2:C2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 calcolo</vt:lpstr>
      <vt:lpstr>calcolo_esempioPPCCB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SalTar</dc:creator>
  <cp:lastModifiedBy>Corrado Musitano</cp:lastModifiedBy>
  <dcterms:created xsi:type="dcterms:W3CDTF">2022-04-06T08:18:49Z</dcterms:created>
  <dcterms:modified xsi:type="dcterms:W3CDTF">2023-09-06T10:51:34Z</dcterms:modified>
</cp:coreProperties>
</file>